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9" activeTab="0"/>
  </bookViews>
  <sheets>
    <sheet name="Accounts" sheetId="1" r:id="rId1"/>
    <sheet name="Bank Account" sheetId="2" r:id="rId2"/>
  </sheets>
  <definedNames/>
  <calcPr fullCalcOnLoad="1"/>
</workbook>
</file>

<file path=xl/sharedStrings.xml><?xml version="1.0" encoding="utf-8"?>
<sst xmlns="http://schemas.openxmlformats.org/spreadsheetml/2006/main" count="224" uniqueCount="156">
  <si>
    <t>FINAL ACCOUNTS LOGC</t>
  </si>
  <si>
    <t>INCOME</t>
  </si>
  <si>
    <t>Details 2010</t>
  </si>
  <si>
    <t>Amounts 2010</t>
  </si>
  <si>
    <t>Details 2009</t>
  </si>
  <si>
    <t>Amounts 2009</t>
  </si>
  <si>
    <t>Details 2008</t>
  </si>
  <si>
    <t>Amounts 2008</t>
  </si>
  <si>
    <t>SPONSOR</t>
  </si>
  <si>
    <t>Pandanet Prizes(E450)+Admin(E200)</t>
  </si>
  <si>
    <t>Xinyi Li's parents</t>
  </si>
  <si>
    <t>?</t>
  </si>
  <si>
    <t>Pandanet recording(E250)</t>
  </si>
  <si>
    <t xml:space="preserve">Nippon Club </t>
  </si>
  <si>
    <r>
      <t>BGA safety net</t>
    </r>
    <r>
      <rPr>
        <vertAlign val="superscript"/>
        <sz val="10"/>
        <rFont val="Arial"/>
        <family val="2"/>
      </rPr>
      <t>1</t>
    </r>
  </si>
  <si>
    <t>BGA safety net</t>
  </si>
  <si>
    <t>Anonymous</t>
  </si>
  <si>
    <t>Winton</t>
  </si>
  <si>
    <t>Pandanet Pro(E200)</t>
  </si>
  <si>
    <t>BGA pro support</t>
  </si>
  <si>
    <t>BAR</t>
  </si>
  <si>
    <r>
      <t>New Years Eve Tab</t>
    </r>
    <r>
      <rPr>
        <vertAlign val="superscript"/>
        <sz val="10"/>
        <rFont val="Arial"/>
        <family val="2"/>
      </rPr>
      <t>4</t>
    </r>
  </si>
  <si>
    <r>
      <t>New Years Eve Tab</t>
    </r>
    <r>
      <rPr>
        <vertAlign val="superscript"/>
        <sz val="10"/>
        <rFont val="Arial"/>
        <family val="2"/>
      </rPr>
      <t>2</t>
    </r>
  </si>
  <si>
    <t>New Years Eve Tab</t>
  </si>
  <si>
    <t>People</t>
  </si>
  <si>
    <t>Fee</t>
  </si>
  <si>
    <t>ENTRIES</t>
  </si>
  <si>
    <t>Entry Fees</t>
  </si>
  <si>
    <t>62@£40</t>
  </si>
  <si>
    <t>58@£30</t>
  </si>
  <si>
    <t>68@£30</t>
  </si>
  <si>
    <t>20@£35</t>
  </si>
  <si>
    <t>30@£25</t>
  </si>
  <si>
    <t>38@£25</t>
  </si>
  <si>
    <t>3@£25</t>
  </si>
  <si>
    <t>10@£20</t>
  </si>
  <si>
    <t>13@£20</t>
  </si>
  <si>
    <t>2@£20</t>
  </si>
  <si>
    <t>2@£15</t>
  </si>
  <si>
    <t>1@£15</t>
  </si>
  <si>
    <t>2@£30</t>
  </si>
  <si>
    <t>3@£10</t>
  </si>
  <si>
    <t>2@£40</t>
  </si>
  <si>
    <t>4@£50</t>
  </si>
  <si>
    <t>1@£40</t>
  </si>
  <si>
    <t>7@£45</t>
  </si>
  <si>
    <t>4@£55</t>
  </si>
  <si>
    <t>4@£45</t>
  </si>
  <si>
    <t>Ghost 3@£0</t>
  </si>
  <si>
    <t xml:space="preserve"> 2 admin@£0</t>
  </si>
  <si>
    <t>1 owing 30+ 6 admin@£0</t>
  </si>
  <si>
    <t>Non-member supplement</t>
  </si>
  <si>
    <t>Ghost</t>
  </si>
  <si>
    <t>Total Players</t>
  </si>
  <si>
    <t>Total Players: 99</t>
  </si>
  <si>
    <t>Total Players: 115</t>
  </si>
  <si>
    <t>Total Players: 132</t>
  </si>
  <si>
    <t>TOTAL INCOME</t>
  </si>
  <si>
    <t>EXPENSES</t>
  </si>
  <si>
    <t>PREMISES</t>
  </si>
  <si>
    <t>£790 per day</t>
  </si>
  <si>
    <t>£760 per day</t>
  </si>
  <si>
    <t>ISH</t>
  </si>
  <si>
    <t>Game recording+Match</t>
  </si>
  <si>
    <r>
      <t>Game recording+Match</t>
    </r>
    <r>
      <rPr>
        <vertAlign val="superscript"/>
        <sz val="10"/>
        <rFont val="Arial"/>
        <family val="2"/>
      </rPr>
      <t>3</t>
    </r>
  </si>
  <si>
    <t>Game recording</t>
  </si>
  <si>
    <t>Internet port</t>
  </si>
  <si>
    <t xml:space="preserve">European Cup charge </t>
  </si>
  <si>
    <t>LEVY</t>
  </si>
  <si>
    <t>Levy</t>
  </si>
  <si>
    <t>Concession 23 x £0.5</t>
  </si>
  <si>
    <t>Member 76 x £0.75</t>
  </si>
  <si>
    <t>Float</t>
  </si>
  <si>
    <t>Registration</t>
  </si>
  <si>
    <t>TOTAL PREMISES</t>
  </si>
  <si>
    <t>ADMIN</t>
  </si>
  <si>
    <t>Entry Forms</t>
  </si>
  <si>
    <t>Art</t>
  </si>
  <si>
    <t>Postage</t>
  </si>
  <si>
    <t>Phone/Fax/e-mail</t>
  </si>
  <si>
    <t>General Stationery</t>
  </si>
  <si>
    <t>Congress Posters</t>
  </si>
  <si>
    <t>Printer Cartridge</t>
  </si>
  <si>
    <t>Phone Topup</t>
  </si>
  <si>
    <t>Tony Atkins' Expenses</t>
  </si>
  <si>
    <t>Equipment</t>
  </si>
  <si>
    <t>travel+refresh</t>
  </si>
  <si>
    <t>Misc</t>
  </si>
  <si>
    <t>DC Parking</t>
  </si>
  <si>
    <t>ISH meeting</t>
  </si>
  <si>
    <t>ISH Parking</t>
  </si>
  <si>
    <t>Safe</t>
  </si>
  <si>
    <t>TOTAL ADMIN</t>
  </si>
  <si>
    <t>CATERING</t>
  </si>
  <si>
    <t>Refreshments</t>
  </si>
  <si>
    <t>Meal Subsidy</t>
  </si>
  <si>
    <t>Organiser's meal</t>
  </si>
  <si>
    <t>Guo New Year Eve meal</t>
  </si>
  <si>
    <t>Sponsor's lunch</t>
  </si>
  <si>
    <t>TOTAL CATERING</t>
  </si>
  <si>
    <t>PRO</t>
  </si>
  <si>
    <t>Guo Juan</t>
  </si>
  <si>
    <t>Fees €1000</t>
  </si>
  <si>
    <t>Fees</t>
  </si>
  <si>
    <t>Pro Expense</t>
  </si>
  <si>
    <t>Food</t>
  </si>
  <si>
    <t>Travel €120</t>
  </si>
  <si>
    <t>Travel</t>
  </si>
  <si>
    <t>Accommodation</t>
  </si>
  <si>
    <t>PRIZES</t>
  </si>
  <si>
    <t>Main Tournament</t>
  </si>
  <si>
    <t>1st(E200 +£150)</t>
  </si>
  <si>
    <t>2nd(E150+£125)</t>
  </si>
  <si>
    <t>3rd(E100+£100)</t>
  </si>
  <si>
    <t>4 th</t>
  </si>
  <si>
    <t>5 th</t>
  </si>
  <si>
    <t>Lightning</t>
  </si>
  <si>
    <t>1st</t>
  </si>
  <si>
    <t>2nd</t>
  </si>
  <si>
    <t>Total Cash Prizes</t>
  </si>
  <si>
    <t>Trophies</t>
  </si>
  <si>
    <t>(5@£13 + 22@£11 +vat)+£38post</t>
  </si>
  <si>
    <t>5@£13 + 20@£10 +£32post+£17 fee</t>
  </si>
  <si>
    <t>Certificates</t>
  </si>
  <si>
    <t>Xtra presents</t>
  </si>
  <si>
    <t>Pairgo</t>
  </si>
  <si>
    <t>Darren+John</t>
  </si>
  <si>
    <t>Engraving</t>
  </si>
  <si>
    <t>TOTAL PRIZES</t>
  </si>
  <si>
    <t>TOTAL EXPENSES</t>
  </si>
  <si>
    <t>SURPLUS (DEFICIT)</t>
  </si>
  <si>
    <t>CURRENCY</t>
  </si>
  <si>
    <t>Used for prizes and Guo</t>
  </si>
  <si>
    <t>POST OFFICE(£/€)</t>
  </si>
  <si>
    <t>Received from EGF</t>
  </si>
  <si>
    <t>BANK(€/£)</t>
  </si>
  <si>
    <t>NOTES</t>
  </si>
  <si>
    <t>BGA safety net – £100 donation to ISH, Darren+ John accommodation+Internet ports for match</t>
  </si>
  <si>
    <t>2</t>
  </si>
  <si>
    <t>Deficit £5.85</t>
  </si>
  <si>
    <t>3</t>
  </si>
  <si>
    <t>Ports in Nash and Fitzrovia used for Man-Machine match(£48), in Portland for Pandanet(£48)</t>
  </si>
  <si>
    <t>No bar tab needed as main bar open</t>
  </si>
  <si>
    <t>SUMMARY</t>
  </si>
  <si>
    <t>BANK ACCOUNT LOGC</t>
  </si>
  <si>
    <t>AMOUNT</t>
  </si>
  <si>
    <t>BALANCE</t>
  </si>
  <si>
    <t>Start bank balance</t>
  </si>
  <si>
    <t>Current Balance</t>
  </si>
  <si>
    <t>BGA Support</t>
  </si>
  <si>
    <t>Hall Deposit</t>
  </si>
  <si>
    <t>Surplus LOGC</t>
  </si>
  <si>
    <t>Start cashbox</t>
  </si>
  <si>
    <t>Current cashbox</t>
  </si>
  <si>
    <t>Surplus cashbox</t>
  </si>
  <si>
    <t>TOTAL SURPLUS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</si>
</sst>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£#,##0.00;&quot;-£&quot;#,##0.00"/>
    <numFmt numFmtId="166" formatCode="0.00"/>
    <numFmt numFmtId="167" formatCode="0"/>
    <numFmt numFmtId="168" formatCode="[$£-809]#,##0;[RED]\-[$£-809]#,##0"/>
    <numFmt numFmtId="169" formatCode="@"/>
    <numFmt numFmtId="170" formatCode="[$£-809]#,##0.00;[RED]\-[$£-809]#,##0.00"/>
    <numFmt numFmtId="171" formatCode="0.0000"/>
  </numFmts>
  <fonts count="10">
    <font>
      <sz val="1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7" xfId="0" applyFont="1" applyBorder="1" applyAlignment="1">
      <alignment horizontal="right"/>
    </xf>
    <xf numFmtId="164" fontId="0" fillId="0" borderId="7" xfId="0" applyBorder="1" applyAlignment="1">
      <alignment/>
    </xf>
    <xf numFmtId="165" fontId="0" fillId="0" borderId="7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6" fontId="0" fillId="0" borderId="8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4" fontId="0" fillId="0" borderId="0" xfId="0" applyFont="1" applyAlignment="1">
      <alignment horizontal="right"/>
    </xf>
    <xf numFmtId="166" fontId="5" fillId="0" borderId="0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5" fillId="2" borderId="8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7" xfId="0" applyNumberFormat="1" applyBorder="1" applyAlignment="1">
      <alignment/>
    </xf>
    <xf numFmtId="167" fontId="0" fillId="0" borderId="7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7" fontId="0" fillId="0" borderId="7" xfId="20" applyNumberFormat="1" applyFont="1" applyFill="1" applyBorder="1" applyAlignment="1" applyProtection="1">
      <alignment horizontal="right"/>
      <protection/>
    </xf>
    <xf numFmtId="167" fontId="0" fillId="0" borderId="7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7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4" fontId="0" fillId="0" borderId="9" xfId="0" applyBorder="1" applyAlignment="1">
      <alignment/>
    </xf>
    <xf numFmtId="167" fontId="0" fillId="0" borderId="10" xfId="0" applyNumberFormat="1" applyBorder="1" applyAlignment="1">
      <alignment horizontal="right"/>
    </xf>
    <xf numFmtId="164" fontId="0" fillId="0" borderId="11" xfId="0" applyBorder="1" applyAlignment="1">
      <alignment/>
    </xf>
    <xf numFmtId="166" fontId="5" fillId="2" borderId="12" xfId="0" applyNumberFormat="1" applyFont="1" applyFill="1" applyBorder="1" applyAlignment="1">
      <alignment/>
    </xf>
    <xf numFmtId="164" fontId="5" fillId="2" borderId="12" xfId="0" applyFont="1" applyFill="1" applyBorder="1" applyAlignment="1">
      <alignment/>
    </xf>
    <xf numFmtId="166" fontId="7" fillId="2" borderId="12" xfId="0" applyNumberFormat="1" applyFont="1" applyFill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164" fontId="8" fillId="0" borderId="0" xfId="0" applyFont="1" applyAlignment="1">
      <alignment/>
    </xf>
    <xf numFmtId="164" fontId="0" fillId="0" borderId="4" xfId="0" applyFont="1" applyBorder="1" applyAlignment="1">
      <alignment/>
    </xf>
    <xf numFmtId="167" fontId="9" fillId="0" borderId="3" xfId="0" applyNumberFormat="1" applyFon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166" fontId="9" fillId="0" borderId="4" xfId="0" applyNumberFormat="1" applyFont="1" applyBorder="1" applyAlignment="1">
      <alignment/>
    </xf>
    <xf numFmtId="164" fontId="0" fillId="0" borderId="3" xfId="0" applyFont="1" applyBorder="1" applyAlignment="1">
      <alignment horizontal="right"/>
    </xf>
    <xf numFmtId="166" fontId="9" fillId="0" borderId="5" xfId="0" applyNumberFormat="1" applyFont="1" applyBorder="1" applyAlignment="1">
      <alignment/>
    </xf>
    <xf numFmtId="166" fontId="0" fillId="0" borderId="5" xfId="0" applyNumberFormat="1" applyBorder="1" applyAlignment="1">
      <alignment/>
    </xf>
    <xf numFmtId="164" fontId="0" fillId="0" borderId="8" xfId="0" applyFont="1" applyBorder="1" applyAlignment="1">
      <alignment/>
    </xf>
    <xf numFmtId="164" fontId="0" fillId="0" borderId="7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7" xfId="0" applyBorder="1" applyAlignment="1">
      <alignment horizontal="right"/>
    </xf>
    <xf numFmtId="166" fontId="0" fillId="0" borderId="7" xfId="0" applyNumberForma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4" fontId="0" fillId="0" borderId="7" xfId="0" applyFont="1" applyBorder="1" applyAlignment="1">
      <alignment horizontal="center"/>
    </xf>
    <xf numFmtId="166" fontId="5" fillId="0" borderId="7" xfId="0" applyNumberFormat="1" applyFont="1" applyBorder="1" applyAlignment="1">
      <alignment horizontal="right"/>
    </xf>
    <xf numFmtId="166" fontId="5" fillId="2" borderId="0" xfId="0" applyNumberFormat="1" applyFont="1" applyFill="1" applyAlignment="1">
      <alignment/>
    </xf>
    <xf numFmtId="164" fontId="5" fillId="0" borderId="0" xfId="0" applyFont="1" applyBorder="1" applyAlignment="1">
      <alignment horizontal="right"/>
    </xf>
    <xf numFmtId="164" fontId="5" fillId="0" borderId="7" xfId="0" applyFont="1" applyBorder="1" applyAlignment="1">
      <alignment horizontal="right"/>
    </xf>
    <xf numFmtId="164" fontId="5" fillId="2" borderId="8" xfId="0" applyFont="1" applyFill="1" applyBorder="1" applyAlignment="1">
      <alignment/>
    </xf>
    <xf numFmtId="164" fontId="5" fillId="2" borderId="0" xfId="0" applyFont="1" applyFill="1" applyAlignment="1">
      <alignment/>
    </xf>
    <xf numFmtId="164" fontId="0" fillId="0" borderId="7" xfId="0" applyFont="1" applyBorder="1" applyAlignment="1">
      <alignment horizontal="left"/>
    </xf>
    <xf numFmtId="164" fontId="0" fillId="0" borderId="12" xfId="0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164" fontId="0" fillId="0" borderId="15" xfId="0" applyFont="1" applyBorder="1" applyAlignment="1">
      <alignment horizontal="right"/>
    </xf>
    <xf numFmtId="166" fontId="5" fillId="2" borderId="16" xfId="0" applyNumberFormat="1" applyFont="1" applyFill="1" applyBorder="1" applyAlignment="1">
      <alignment/>
    </xf>
    <xf numFmtId="166" fontId="0" fillId="0" borderId="17" xfId="0" applyNumberFormat="1" applyBorder="1" applyAlignment="1">
      <alignment/>
    </xf>
    <xf numFmtId="164" fontId="0" fillId="0" borderId="10" xfId="0" applyBorder="1" applyAlignment="1">
      <alignment/>
    </xf>
    <xf numFmtId="166" fontId="0" fillId="4" borderId="12" xfId="0" applyNumberFormat="1" applyFill="1" applyBorder="1" applyAlignment="1">
      <alignment/>
    </xf>
    <xf numFmtId="166" fontId="0" fillId="4" borderId="14" xfId="0" applyNumberFormat="1" applyFill="1" applyBorder="1" applyAlignment="1">
      <alignment/>
    </xf>
    <xf numFmtId="166" fontId="0" fillId="4" borderId="14" xfId="0" applyNumberFormat="1" applyFont="1" applyFill="1" applyBorder="1" applyAlignment="1">
      <alignment/>
    </xf>
    <xf numFmtId="166" fontId="0" fillId="2" borderId="14" xfId="0" applyNumberFormat="1" applyFill="1" applyBorder="1" applyAlignment="1">
      <alignment/>
    </xf>
    <xf numFmtId="170" fontId="0" fillId="2" borderId="14" xfId="0" applyNumberFormat="1" applyFill="1" applyBorder="1" applyAlignment="1">
      <alignment/>
    </xf>
    <xf numFmtId="171" fontId="0" fillId="0" borderId="0" xfId="0" applyNumberFormat="1" applyAlignment="1">
      <alignment/>
    </xf>
    <xf numFmtId="164" fontId="4" fillId="0" borderId="0" xfId="0" applyFont="1" applyAlignment="1">
      <alignment horizontal="right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workbookViewId="0" topLeftCell="A1">
      <selection activeCell="A1" sqref="A1"/>
    </sheetView>
  </sheetViews>
  <sheetFormatPr defaultColWidth="10.28125" defaultRowHeight="12.75"/>
  <cols>
    <col min="1" max="1" width="13.8515625" style="1" customWidth="1"/>
    <col min="2" max="2" width="21.00390625" style="1" customWidth="1"/>
    <col min="3" max="3" width="6.8515625" style="1" customWidth="1"/>
    <col min="4" max="4" width="5.140625" style="1" customWidth="1"/>
    <col min="5" max="5" width="12.8515625" style="1" customWidth="1"/>
    <col min="6" max="6" width="6.8515625" style="1" customWidth="1"/>
    <col min="7" max="7" width="5.140625" style="1" customWidth="1"/>
    <col min="8" max="8" width="12.8515625" style="1" customWidth="1"/>
    <col min="9" max="9" width="32.00390625" style="1" customWidth="1"/>
    <col min="10" max="10" width="14.00390625" style="1" customWidth="1"/>
    <col min="11" max="11" width="31.8515625" style="1" customWidth="1"/>
    <col min="12" max="12" width="14.7109375" style="1" customWidth="1"/>
    <col min="13" max="13" width="24.28125" style="1" customWidth="1"/>
    <col min="14" max="14" width="16.140625" style="1" customWidth="1"/>
    <col min="15" max="255" width="9.8515625" style="1" customWidth="1"/>
    <col min="256" max="16384" width="11.57421875" style="0" customWidth="1"/>
  </cols>
  <sheetData>
    <row r="1" spans="1:13" ht="12.75">
      <c r="A1" s="2" t="s">
        <v>0</v>
      </c>
      <c r="M1" s="3"/>
    </row>
    <row r="3" spans="1:14" ht="12.75">
      <c r="A3" s="4" t="s">
        <v>1</v>
      </c>
      <c r="B3"/>
      <c r="C3" s="5">
        <v>2012</v>
      </c>
      <c r="D3" s="5"/>
      <c r="E3" s="5"/>
      <c r="F3" s="5">
        <v>2011</v>
      </c>
      <c r="G3" s="5"/>
      <c r="H3" s="5"/>
      <c r="I3" s="6" t="s">
        <v>2</v>
      </c>
      <c r="J3" s="7" t="s">
        <v>3</v>
      </c>
      <c r="K3" s="6" t="s">
        <v>4</v>
      </c>
      <c r="L3" s="8" t="s">
        <v>5</v>
      </c>
      <c r="M3" s="6" t="s">
        <v>6</v>
      </c>
      <c r="N3" s="8" t="s">
        <v>7</v>
      </c>
    </row>
    <row r="4" spans="1:13" ht="12.75">
      <c r="A4" s="9"/>
      <c r="C4" s="10"/>
      <c r="E4" s="11"/>
      <c r="F4" s="10"/>
      <c r="H4" s="11"/>
      <c r="I4" s="12"/>
      <c r="J4" s="11"/>
      <c r="K4" s="12"/>
      <c r="M4" s="13"/>
    </row>
    <row r="5" spans="1:14" ht="12.75">
      <c r="A5" s="9" t="s">
        <v>8</v>
      </c>
      <c r="B5"/>
      <c r="C5" s="14"/>
      <c r="D5" s="15"/>
      <c r="E5" s="16"/>
      <c r="F5" s="14"/>
      <c r="G5" s="15"/>
      <c r="H5" s="16">
        <v>0</v>
      </c>
      <c r="I5" s="14" t="s">
        <v>9</v>
      </c>
      <c r="J5" s="16">
        <f>650/$M$93</f>
        <v>532.6995574495985</v>
      </c>
      <c r="K5" s="14" t="s">
        <v>9</v>
      </c>
      <c r="L5" s="17">
        <f>650/1.1483</f>
        <v>566.0541670295219</v>
      </c>
      <c r="M5" s="14" t="s">
        <v>9</v>
      </c>
      <c r="N5" s="17">
        <f>650/1.1332</f>
        <v>573.5968937522061</v>
      </c>
    </row>
    <row r="6" spans="1:14" ht="12.75">
      <c r="A6" s="9"/>
      <c r="B6"/>
      <c r="C6" s="18" t="s">
        <v>10</v>
      </c>
      <c r="D6" s="15"/>
      <c r="E6" s="16" t="s">
        <v>11</v>
      </c>
      <c r="F6" s="14"/>
      <c r="G6" s="15"/>
      <c r="H6" s="16">
        <v>0</v>
      </c>
      <c r="I6" s="14" t="s">
        <v>12</v>
      </c>
      <c r="J6" s="16">
        <f>250/$M$93</f>
        <v>204.88444517292248</v>
      </c>
      <c r="K6" s="14" t="s">
        <v>12</v>
      </c>
      <c r="L6" s="17">
        <f>250/1.1483</f>
        <v>217.7131411652007</v>
      </c>
      <c r="M6" s="14" t="s">
        <v>12</v>
      </c>
      <c r="N6" s="17">
        <f>250/1.1332</f>
        <v>220.61418990469468</v>
      </c>
    </row>
    <row r="7" spans="1:14" ht="12.75">
      <c r="A7" s="9"/>
      <c r="B7" s="19" t="s">
        <v>13</v>
      </c>
      <c r="C7" s="12"/>
      <c r="D7" s="19"/>
      <c r="E7" s="16" t="s">
        <v>11</v>
      </c>
      <c r="F7" s="12"/>
      <c r="G7" s="19"/>
      <c r="H7" s="16">
        <v>200</v>
      </c>
      <c r="I7" s="19" t="s">
        <v>13</v>
      </c>
      <c r="J7" s="16">
        <v>200</v>
      </c>
      <c r="K7" s="19" t="s">
        <v>13</v>
      </c>
      <c r="L7" s="16">
        <v>200</v>
      </c>
      <c r="M7" s="19" t="s">
        <v>13</v>
      </c>
      <c r="N7" s="16">
        <v>200</v>
      </c>
    </row>
    <row r="8" spans="1:14" ht="12.75">
      <c r="A8" s="9"/>
      <c r="B8" s="20" t="s">
        <v>14</v>
      </c>
      <c r="C8" s="21"/>
      <c r="D8" s="20"/>
      <c r="E8" s="16">
        <v>0</v>
      </c>
      <c r="F8" s="21"/>
      <c r="G8" s="20"/>
      <c r="H8" s="16">
        <v>0</v>
      </c>
      <c r="I8" s="20" t="s">
        <v>14</v>
      </c>
      <c r="J8" s="16">
        <f>235.85+48+100</f>
        <v>383.85</v>
      </c>
      <c r="K8" s="20" t="s">
        <v>15</v>
      </c>
      <c r="L8" s="16">
        <v>0</v>
      </c>
      <c r="M8" s="20" t="s">
        <v>15</v>
      </c>
      <c r="N8" s="16">
        <v>0</v>
      </c>
    </row>
    <row r="9" spans="1:14" ht="12.75">
      <c r="A9" s="9"/>
      <c r="B9"/>
      <c r="C9" s="18" t="s">
        <v>16</v>
      </c>
      <c r="D9" s="22"/>
      <c r="E9" s="16">
        <v>1000</v>
      </c>
      <c r="F9" s="12"/>
      <c r="G9" s="22"/>
      <c r="H9" s="16">
        <v>0</v>
      </c>
      <c r="I9" s="22" t="s">
        <v>17</v>
      </c>
      <c r="J9" s="16">
        <v>1700</v>
      </c>
      <c r="K9" s="22" t="s">
        <v>17</v>
      </c>
      <c r="L9" s="16">
        <v>1700</v>
      </c>
      <c r="M9" s="22" t="s">
        <v>17</v>
      </c>
      <c r="N9" s="16">
        <v>1500</v>
      </c>
    </row>
    <row r="10" spans="1:14" ht="12.75">
      <c r="A10" s="9"/>
      <c r="B10"/>
      <c r="C10" s="12"/>
      <c r="D10" s="19"/>
      <c r="E10" s="16">
        <v>0</v>
      </c>
      <c r="F10" s="12"/>
      <c r="G10" s="19"/>
      <c r="H10" s="16">
        <v>0</v>
      </c>
      <c r="I10" s="12" t="s">
        <v>18</v>
      </c>
      <c r="J10" s="16">
        <f>200/$M$93</f>
        <v>163.90755613833798</v>
      </c>
      <c r="K10" s="12" t="s">
        <v>18</v>
      </c>
      <c r="L10" s="16">
        <f>200/1.1483</f>
        <v>174.17051293216056</v>
      </c>
      <c r="M10" s="12" t="s">
        <v>18</v>
      </c>
      <c r="N10" s="16">
        <f>200/1.1332</f>
        <v>176.49135192375573</v>
      </c>
    </row>
    <row r="11" spans="1:14" ht="12.75">
      <c r="A11" s="9"/>
      <c r="B11" s="22" t="s">
        <v>19</v>
      </c>
      <c r="C11" s="12"/>
      <c r="D11" s="22"/>
      <c r="E11" s="16">
        <v>0</v>
      </c>
      <c r="F11" s="12"/>
      <c r="G11" s="22"/>
      <c r="H11" s="16">
        <v>0</v>
      </c>
      <c r="I11" s="22" t="s">
        <v>19</v>
      </c>
      <c r="J11" s="16">
        <v>0</v>
      </c>
      <c r="K11" s="22" t="s">
        <v>19</v>
      </c>
      <c r="L11" s="16">
        <v>0</v>
      </c>
      <c r="M11" s="22" t="s">
        <v>19</v>
      </c>
      <c r="N11" s="16">
        <v>0</v>
      </c>
    </row>
    <row r="12" spans="1:14" ht="12.75">
      <c r="A12" s="9"/>
      <c r="B12" s="23"/>
      <c r="C12" s="24"/>
      <c r="D12" s="23"/>
      <c r="E12" s="25">
        <f>SUM(E5:E11)</f>
        <v>1000</v>
      </c>
      <c r="F12" s="24"/>
      <c r="G12" s="23"/>
      <c r="H12" s="25">
        <f>SUM(H5:H11)</f>
        <v>200</v>
      </c>
      <c r="I12" s="12"/>
      <c r="J12" s="25">
        <f>SUM(J5:J11)</f>
        <v>3185.341558760859</v>
      </c>
      <c r="K12" s="26"/>
      <c r="L12" s="25">
        <f>SUM(L5:L11)</f>
        <v>2857.937821126883</v>
      </c>
      <c r="M12" s="12"/>
      <c r="N12" s="25">
        <f>SUM(N5:N11)</f>
        <v>2670.7024355806566</v>
      </c>
    </row>
    <row r="13" spans="1:14" ht="12.75">
      <c r="A13" s="9"/>
      <c r="B13" s="17"/>
      <c r="C13" s="27"/>
      <c r="D13" s="17"/>
      <c r="E13" s="16"/>
      <c r="F13" s="27"/>
      <c r="G13" s="17"/>
      <c r="H13" s="16"/>
      <c r="I13" s="12"/>
      <c r="J13" s="16"/>
      <c r="K13" s="12"/>
      <c r="L13" s="16"/>
      <c r="M13" s="12"/>
      <c r="N13" s="16"/>
    </row>
    <row r="14" spans="1:14" ht="12.75">
      <c r="A14" s="9" t="s">
        <v>20</v>
      </c>
      <c r="B14" s="19" t="s">
        <v>21</v>
      </c>
      <c r="C14" s="12"/>
      <c r="D14" s="19"/>
      <c r="E14" s="25">
        <v>0</v>
      </c>
      <c r="F14" s="12"/>
      <c r="G14" s="19"/>
      <c r="H14" s="25">
        <v>0</v>
      </c>
      <c r="I14" s="12" t="s">
        <v>22</v>
      </c>
      <c r="J14" s="25">
        <v>208.01</v>
      </c>
      <c r="K14" s="12" t="s">
        <v>23</v>
      </c>
      <c r="L14" s="25">
        <v>149.6</v>
      </c>
      <c r="M14" s="12" t="s">
        <v>23</v>
      </c>
      <c r="N14" s="25">
        <v>45.5</v>
      </c>
    </row>
    <row r="15" spans="1:14" ht="12.75">
      <c r="A15" s="9"/>
      <c r="B15"/>
      <c r="C15" s="27" t="s">
        <v>24</v>
      </c>
      <c r="D15" s="20" t="s">
        <v>25</v>
      </c>
      <c r="E15" s="16"/>
      <c r="F15" s="27" t="s">
        <v>24</v>
      </c>
      <c r="G15" s="20" t="s">
        <v>25</v>
      </c>
      <c r="H15" s="16"/>
      <c r="I15" s="12"/>
      <c r="J15" s="16"/>
      <c r="K15" s="12"/>
      <c r="L15" s="16"/>
      <c r="M15" s="12"/>
      <c r="N15" s="16"/>
    </row>
    <row r="16" spans="1:14" ht="12.75">
      <c r="A16" s="9" t="s">
        <v>26</v>
      </c>
      <c r="B16" s="22" t="s">
        <v>27</v>
      </c>
      <c r="C16" s="28"/>
      <c r="D16" s="29">
        <v>55</v>
      </c>
      <c r="E16" s="16">
        <f>D16*C16</f>
        <v>0</v>
      </c>
      <c r="F16" s="28">
        <v>6</v>
      </c>
      <c r="G16" s="29">
        <v>52</v>
      </c>
      <c r="H16" s="16">
        <f>G16*F16</f>
        <v>312</v>
      </c>
      <c r="I16" s="30" t="s">
        <v>28</v>
      </c>
      <c r="J16" s="16">
        <f>62*40</f>
        <v>2480</v>
      </c>
      <c r="K16" s="30" t="s">
        <v>29</v>
      </c>
      <c r="L16" s="16">
        <f>58*30</f>
        <v>1740</v>
      </c>
      <c r="M16" s="30" t="s">
        <v>30</v>
      </c>
      <c r="N16" s="16">
        <f>67*30</f>
        <v>2010</v>
      </c>
    </row>
    <row r="17" spans="1:14" ht="12.75">
      <c r="A17" s="9"/>
      <c r="B17"/>
      <c r="C17" s="28"/>
      <c r="D17" s="29">
        <v>52</v>
      </c>
      <c r="E17" s="16">
        <f>D17*C17</f>
        <v>0</v>
      </c>
      <c r="F17" s="28">
        <v>2</v>
      </c>
      <c r="G17" s="29">
        <v>47</v>
      </c>
      <c r="H17" s="16">
        <f>G17*F17</f>
        <v>94</v>
      </c>
      <c r="I17" s="31" t="s">
        <v>31</v>
      </c>
      <c r="J17" s="16">
        <f>20*35</f>
        <v>700</v>
      </c>
      <c r="K17" s="31" t="s">
        <v>32</v>
      </c>
      <c r="L17" s="16">
        <f>30*25</f>
        <v>750</v>
      </c>
      <c r="M17" s="31" t="s">
        <v>33</v>
      </c>
      <c r="N17" s="16">
        <f>38*25</f>
        <v>950</v>
      </c>
    </row>
    <row r="18" spans="1:14" ht="12.75">
      <c r="A18" s="9"/>
      <c r="B18"/>
      <c r="C18" s="28"/>
      <c r="D18" s="29">
        <v>37</v>
      </c>
      <c r="E18" s="16">
        <f>D18*C18</f>
        <v>0</v>
      </c>
      <c r="F18" s="28">
        <v>53</v>
      </c>
      <c r="G18" s="29">
        <v>42</v>
      </c>
      <c r="H18" s="16">
        <f>G18*F18</f>
        <v>2226</v>
      </c>
      <c r="I18" s="31" t="s">
        <v>34</v>
      </c>
      <c r="J18" s="16">
        <f>3*25</f>
        <v>75</v>
      </c>
      <c r="K18" s="31" t="s">
        <v>35</v>
      </c>
      <c r="L18" s="16">
        <f>10*20</f>
        <v>200</v>
      </c>
      <c r="M18" s="31" t="s">
        <v>36</v>
      </c>
      <c r="N18" s="16">
        <f>13*20</f>
        <v>260</v>
      </c>
    </row>
    <row r="19" spans="1:14" ht="12.75">
      <c r="A19" s="9"/>
      <c r="B19"/>
      <c r="C19" s="28"/>
      <c r="D19" s="29">
        <v>47</v>
      </c>
      <c r="E19" s="16">
        <f>D19*C19</f>
        <v>0</v>
      </c>
      <c r="F19" s="28">
        <v>1</v>
      </c>
      <c r="G19" s="29">
        <v>40</v>
      </c>
      <c r="H19" s="16">
        <f>G19*F19</f>
        <v>40</v>
      </c>
      <c r="I19" s="31" t="s">
        <v>37</v>
      </c>
      <c r="J19" s="16">
        <f>2*20</f>
        <v>40</v>
      </c>
      <c r="K19" s="32" t="s">
        <v>38</v>
      </c>
      <c r="L19" s="16">
        <f>1*15</f>
        <v>15</v>
      </c>
      <c r="M19" s="32" t="s">
        <v>39</v>
      </c>
      <c r="N19" s="16">
        <f>1*15</f>
        <v>15</v>
      </c>
    </row>
    <row r="20" spans="1:14" ht="12.75">
      <c r="A20" s="9"/>
      <c r="B20"/>
      <c r="C20" s="28"/>
      <c r="D20" s="29">
        <v>42</v>
      </c>
      <c r="E20" s="16">
        <f>D20*C20</f>
        <v>0</v>
      </c>
      <c r="F20" s="28">
        <v>9</v>
      </c>
      <c r="G20" s="29">
        <v>37</v>
      </c>
      <c r="H20" s="16">
        <f>G20*F20</f>
        <v>333</v>
      </c>
      <c r="I20" s="31" t="s">
        <v>40</v>
      </c>
      <c r="J20" s="16">
        <f>2*30</f>
        <v>60</v>
      </c>
      <c r="K20" s="32" t="s">
        <v>41</v>
      </c>
      <c r="L20" s="16">
        <f>3*10</f>
        <v>30</v>
      </c>
      <c r="M20" s="33" t="s">
        <v>42</v>
      </c>
      <c r="N20" s="16">
        <f>2*40</f>
        <v>80</v>
      </c>
    </row>
    <row r="21" spans="1:14" ht="12.75">
      <c r="A21" s="9"/>
      <c r="B21"/>
      <c r="C21" s="28"/>
      <c r="D21" s="29">
        <v>27</v>
      </c>
      <c r="E21" s="16">
        <f>D21*C21</f>
        <v>0</v>
      </c>
      <c r="F21" s="28">
        <v>31</v>
      </c>
      <c r="G21" s="29">
        <v>35</v>
      </c>
      <c r="H21" s="16">
        <f>G21*F21</f>
        <v>1085</v>
      </c>
      <c r="I21" s="31" t="s">
        <v>43</v>
      </c>
      <c r="J21" s="16">
        <f>4*50</f>
        <v>200</v>
      </c>
      <c r="K21" s="33" t="s">
        <v>44</v>
      </c>
      <c r="L21" s="16">
        <f>1*40</f>
        <v>40</v>
      </c>
      <c r="M21" s="22" t="s">
        <v>45</v>
      </c>
      <c r="N21" s="16">
        <f>7*45</f>
        <v>315</v>
      </c>
    </row>
    <row r="22" spans="1:14" ht="12.75">
      <c r="A22" s="9"/>
      <c r="B22"/>
      <c r="C22" s="28"/>
      <c r="D22" s="29">
        <v>40</v>
      </c>
      <c r="E22" s="16">
        <f>D22*C22</f>
        <v>0</v>
      </c>
      <c r="F22" s="28">
        <v>24</v>
      </c>
      <c r="G22" s="29">
        <v>30</v>
      </c>
      <c r="H22" s="16">
        <f>G22*F22</f>
        <v>720</v>
      </c>
      <c r="I22" s="31" t="s">
        <v>46</v>
      </c>
      <c r="J22" s="16">
        <f>4*55</f>
        <v>220</v>
      </c>
      <c r="K22" s="22" t="s">
        <v>47</v>
      </c>
      <c r="L22" s="16">
        <f>4*45</f>
        <v>180</v>
      </c>
      <c r="M22" s="31" t="s">
        <v>48</v>
      </c>
      <c r="N22" s="16">
        <v>0</v>
      </c>
    </row>
    <row r="23" spans="1:14" ht="12.75">
      <c r="A23" s="9"/>
      <c r="B23"/>
      <c r="C23" s="28"/>
      <c r="D23" s="29">
        <v>35</v>
      </c>
      <c r="E23" s="16">
        <f>D23*C23</f>
        <v>0</v>
      </c>
      <c r="F23" s="28">
        <v>1</v>
      </c>
      <c r="G23" s="29">
        <v>26</v>
      </c>
      <c r="H23" s="16">
        <f>G23*F23</f>
        <v>26</v>
      </c>
      <c r="I23" s="34" t="s">
        <v>49</v>
      </c>
      <c r="J23" s="16">
        <v>0</v>
      </c>
      <c r="K23" s="34" t="s">
        <v>50</v>
      </c>
      <c r="L23" s="16">
        <v>0</v>
      </c>
      <c r="M23" s="31"/>
      <c r="N23" s="16"/>
    </row>
    <row r="24" spans="1:14" ht="12.75">
      <c r="A24" s="9"/>
      <c r="B24"/>
      <c r="C24" s="28"/>
      <c r="D24" s="29">
        <v>20</v>
      </c>
      <c r="E24" s="16">
        <f>D24*C24</f>
        <v>0</v>
      </c>
      <c r="F24" s="28">
        <v>4</v>
      </c>
      <c r="G24" s="29">
        <v>24</v>
      </c>
      <c r="H24" s="16">
        <f>G24*F24</f>
        <v>96</v>
      </c>
      <c r="I24" s="34"/>
      <c r="J24" s="16"/>
      <c r="K24" s="34"/>
      <c r="L24" s="16"/>
      <c r="M24" s="31"/>
      <c r="N24" s="16"/>
    </row>
    <row r="25" spans="1:14" ht="12.75">
      <c r="A25" s="9"/>
      <c r="B25"/>
      <c r="C25" s="28"/>
      <c r="D25" s="29"/>
      <c r="E25" s="16">
        <f>D25*C25</f>
        <v>0</v>
      </c>
      <c r="F25" s="28">
        <v>11</v>
      </c>
      <c r="G25" s="29">
        <v>20</v>
      </c>
      <c r="H25" s="16">
        <f>G25*F25</f>
        <v>220</v>
      </c>
      <c r="J25" s="11"/>
      <c r="L25" s="11"/>
      <c r="N25" s="11"/>
    </row>
    <row r="26" spans="1:14" ht="12.75">
      <c r="A26" s="9"/>
      <c r="B26"/>
      <c r="C26" s="28"/>
      <c r="D26" s="29"/>
      <c r="E26" s="16">
        <f>D26*C26</f>
        <v>0</v>
      </c>
      <c r="F26" s="28">
        <v>1</v>
      </c>
      <c r="G26" s="29">
        <v>18</v>
      </c>
      <c r="H26" s="16">
        <f>G26*F26</f>
        <v>18</v>
      </c>
      <c r="J26" s="11"/>
      <c r="L26" s="11"/>
      <c r="M26" s="32"/>
      <c r="N26" s="16"/>
    </row>
    <row r="27" spans="1:14" ht="12.75">
      <c r="A27" s="9"/>
      <c r="B27" t="s">
        <v>51</v>
      </c>
      <c r="C27" s="28"/>
      <c r="D27" s="29">
        <v>5</v>
      </c>
      <c r="E27" s="16">
        <f>D27*C27</f>
        <v>0</v>
      </c>
      <c r="F27" s="28">
        <v>1</v>
      </c>
      <c r="G27" s="29">
        <v>15</v>
      </c>
      <c r="H27" s="16">
        <f>G27*F27</f>
        <v>15</v>
      </c>
      <c r="J27" s="11"/>
      <c r="L27" s="11"/>
      <c r="N27" s="11"/>
    </row>
    <row r="28" spans="1:14" ht="12.75">
      <c r="A28" s="9"/>
      <c r="B28" s="32" t="s">
        <v>52</v>
      </c>
      <c r="C28" s="28"/>
      <c r="D28" s="29">
        <v>0</v>
      </c>
      <c r="E28" s="16">
        <v>0</v>
      </c>
      <c r="F28" s="28">
        <v>1</v>
      </c>
      <c r="G28" s="29">
        <v>0</v>
      </c>
      <c r="H28" s="16">
        <v>0</v>
      </c>
      <c r="J28" s="11"/>
      <c r="L28" s="11"/>
      <c r="N28" s="11"/>
    </row>
    <row r="29" spans="1:14" ht="12.75">
      <c r="A29" s="9"/>
      <c r="B29" s="32"/>
      <c r="C29" s="13"/>
      <c r="D29"/>
      <c r="E29" s="16"/>
      <c r="F29" s="13"/>
      <c r="G29"/>
      <c r="H29" s="16"/>
      <c r="J29" s="11"/>
      <c r="L29" s="11"/>
      <c r="N29" s="11"/>
    </row>
    <row r="30" spans="1:14" ht="12.75">
      <c r="A30" s="35"/>
      <c r="B30" s="20" t="s">
        <v>53</v>
      </c>
      <c r="C30" s="36">
        <f>SUM(C16:C28)</f>
        <v>0</v>
      </c>
      <c r="D30" s="37"/>
      <c r="E30" s="38">
        <f>SUM(E16:E28)</f>
        <v>0</v>
      </c>
      <c r="F30" s="36">
        <f>SUM(F16:F28)</f>
        <v>145</v>
      </c>
      <c r="G30" s="37"/>
      <c r="H30" s="38">
        <f>SUM(H16:H28)</f>
        <v>5185</v>
      </c>
      <c r="I30" s="19" t="s">
        <v>54</v>
      </c>
      <c r="J30" s="38">
        <f>SUM(J16:J24)</f>
        <v>3775</v>
      </c>
      <c r="K30" s="19" t="s">
        <v>55</v>
      </c>
      <c r="L30" s="39">
        <f>SUM(L16:L24)</f>
        <v>2955</v>
      </c>
      <c r="M30" s="19" t="s">
        <v>56</v>
      </c>
      <c r="N30" s="40">
        <f>SUM(N16:N18,N19,N20:N22)</f>
        <v>3630</v>
      </c>
    </row>
    <row r="31" spans="2:12" ht="12.75">
      <c r="B31" s="26"/>
      <c r="C31" s="27"/>
      <c r="D31" s="26"/>
      <c r="E31" s="16"/>
      <c r="F31" s="27"/>
      <c r="G31" s="26"/>
      <c r="H31" s="16"/>
      <c r="I31" s="19"/>
      <c r="J31" s="26"/>
      <c r="K31" s="26"/>
      <c r="L31" s="26"/>
    </row>
    <row r="32" spans="1:14" ht="12.75">
      <c r="A32" t="s">
        <v>57</v>
      </c>
      <c r="B32"/>
      <c r="C32" s="13"/>
      <c r="D32"/>
      <c r="E32" s="41">
        <f>SUM(E12,E14,E30)</f>
        <v>1000</v>
      </c>
      <c r="F32" s="13"/>
      <c r="G32"/>
      <c r="H32" s="41">
        <f>SUM(H12,H14,H30)</f>
        <v>5385</v>
      </c>
      <c r="I32" s="19"/>
      <c r="J32" s="42">
        <f>SUM(J12,J14,J30)</f>
        <v>7168.351558760859</v>
      </c>
      <c r="K32" s="26"/>
      <c r="L32" s="42">
        <f>L12+L14+L30</f>
        <v>5962.5378211268835</v>
      </c>
      <c r="N32" s="42">
        <f>N12++N14+N30</f>
        <v>6346.202435580657</v>
      </c>
    </row>
    <row r="33" spans="2:12" ht="12.75">
      <c r="B33" s="26"/>
      <c r="C33" s="26"/>
      <c r="D33" s="26"/>
      <c r="E33" s="26"/>
      <c r="F33" s="26"/>
      <c r="G33" s="26"/>
      <c r="H33" s="26"/>
      <c r="I33" s="19"/>
      <c r="J33" s="26"/>
      <c r="K33" s="26"/>
      <c r="L33" s="26"/>
    </row>
    <row r="34" spans="1:12" ht="12.75">
      <c r="A34" s="43" t="s">
        <v>58</v>
      </c>
      <c r="B34" s="26"/>
      <c r="C34" s="26"/>
      <c r="D34" s="26"/>
      <c r="E34" s="26"/>
      <c r="F34" s="26"/>
      <c r="G34" s="26"/>
      <c r="H34" s="26"/>
      <c r="I34" s="19"/>
      <c r="J34" s="26"/>
      <c r="K34" s="26"/>
      <c r="L34" s="26"/>
    </row>
    <row r="35" spans="1:14" ht="12.75">
      <c r="A35" s="44" t="s">
        <v>59</v>
      </c>
      <c r="B35"/>
      <c r="C35" s="45">
        <v>4</v>
      </c>
      <c r="D35" s="46">
        <f>1.05*810</f>
        <v>850.5</v>
      </c>
      <c r="E35" s="47">
        <f>C35*D35</f>
        <v>3402</v>
      </c>
      <c r="F35" s="45">
        <v>4</v>
      </c>
      <c r="G35" s="46">
        <v>810</v>
      </c>
      <c r="H35" s="47">
        <f>F35*G35</f>
        <v>3240</v>
      </c>
      <c r="I35" s="48" t="s">
        <v>60</v>
      </c>
      <c r="J35" s="47">
        <f>4*790</f>
        <v>3160</v>
      </c>
      <c r="K35" s="48" t="s">
        <v>61</v>
      </c>
      <c r="L35" s="49">
        <v>3040</v>
      </c>
      <c r="M35" s="44" t="s">
        <v>62</v>
      </c>
      <c r="N35" s="50">
        <v>2880</v>
      </c>
    </row>
    <row r="36" spans="1:14" ht="12.75">
      <c r="A36" s="9"/>
      <c r="B36" s="12" t="s">
        <v>63</v>
      </c>
      <c r="C36" s="12"/>
      <c r="D36" s="19"/>
      <c r="E36" s="16">
        <v>0</v>
      </c>
      <c r="F36" s="12"/>
      <c r="G36" s="19"/>
      <c r="H36" s="16">
        <v>0</v>
      </c>
      <c r="I36" s="12" t="s">
        <v>64</v>
      </c>
      <c r="J36" s="16">
        <v>96</v>
      </c>
      <c r="K36" s="12" t="s">
        <v>65</v>
      </c>
      <c r="L36" s="17">
        <v>40</v>
      </c>
      <c r="M36" s="51" t="s">
        <v>66</v>
      </c>
      <c r="N36" s="17">
        <v>80</v>
      </c>
    </row>
    <row r="37" spans="1:14" ht="12.75">
      <c r="A37" s="9"/>
      <c r="B37" s="12" t="s">
        <v>67</v>
      </c>
      <c r="C37" s="12"/>
      <c r="D37" s="19"/>
      <c r="E37" s="16">
        <f>100/1.2</f>
        <v>83.33333333333334</v>
      </c>
      <c r="F37" s="12"/>
      <c r="G37" s="19"/>
      <c r="H37" s="16">
        <f>500/1.2</f>
        <v>416.6666666666667</v>
      </c>
      <c r="I37" s="12"/>
      <c r="J37" s="16"/>
      <c r="K37" s="12"/>
      <c r="L37" s="17"/>
      <c r="M37" s="51"/>
      <c r="N37" s="17"/>
    </row>
    <row r="38" spans="1:14" ht="12.75">
      <c r="A38" s="9"/>
      <c r="B38" s="12"/>
      <c r="C38" s="12"/>
      <c r="D38" s="19"/>
      <c r="E38" s="16"/>
      <c r="F38" s="12"/>
      <c r="G38" s="19"/>
      <c r="H38" s="16"/>
      <c r="I38" s="12"/>
      <c r="J38" s="16"/>
      <c r="K38" s="12"/>
      <c r="L38" s="17"/>
      <c r="M38" s="51"/>
      <c r="N38" s="17"/>
    </row>
    <row r="39" spans="1:14" ht="12.75">
      <c r="A39" s="9" t="s">
        <v>68</v>
      </c>
      <c r="B39" s="22" t="s">
        <v>69</v>
      </c>
      <c r="C39" s="52"/>
      <c r="D39" s="53">
        <v>1.5</v>
      </c>
      <c r="E39" s="16">
        <f>2*D39*C39</f>
        <v>0</v>
      </c>
      <c r="F39" s="52">
        <v>21</v>
      </c>
      <c r="G39" s="53">
        <v>1</v>
      </c>
      <c r="H39" s="16">
        <f>2*G39*F39</f>
        <v>42</v>
      </c>
      <c r="I39" s="22" t="s">
        <v>70</v>
      </c>
      <c r="J39" s="16">
        <f>23*0.5*4</f>
        <v>46</v>
      </c>
      <c r="L39" s="51"/>
      <c r="M39" s="9" t="s">
        <v>69</v>
      </c>
      <c r="N39" s="51"/>
    </row>
    <row r="40" spans="1:14" ht="12.75">
      <c r="A40" s="9"/>
      <c r="B40"/>
      <c r="C40" s="52"/>
      <c r="D40" s="53">
        <v>2</v>
      </c>
      <c r="E40" s="16">
        <f>2*D40*C40</f>
        <v>0</v>
      </c>
      <c r="F40" s="52">
        <v>106</v>
      </c>
      <c r="G40" s="53">
        <v>1.5</v>
      </c>
      <c r="H40" s="16">
        <f>2*G40*F40</f>
        <v>318</v>
      </c>
      <c r="I40" s="12" t="s">
        <v>71</v>
      </c>
      <c r="J40" s="16">
        <f>76*0.75*4</f>
        <v>228</v>
      </c>
      <c r="L40" s="51"/>
      <c r="M40" s="9"/>
      <c r="N40" s="51"/>
    </row>
    <row r="41" spans="1:14" ht="12.75">
      <c r="A41" s="9"/>
      <c r="B41"/>
      <c r="C41" s="52"/>
      <c r="D41" s="53">
        <v>3.5</v>
      </c>
      <c r="E41" s="16">
        <f>2*D41*C41</f>
        <v>0</v>
      </c>
      <c r="F41" s="52">
        <v>1</v>
      </c>
      <c r="G41" s="53">
        <v>4.5</v>
      </c>
      <c r="H41" s="16">
        <f>2*G41*F41</f>
        <v>9</v>
      </c>
      <c r="J41" s="11"/>
      <c r="K41" s="12"/>
      <c r="L41" s="16"/>
      <c r="M41" s="9"/>
      <c r="N41" s="16"/>
    </row>
    <row r="42" spans="1:14" ht="12.75">
      <c r="A42" s="9"/>
      <c r="B42"/>
      <c r="C42" s="52"/>
      <c r="D42" s="53">
        <v>5</v>
      </c>
      <c r="E42" s="16">
        <f>2*D42*C42</f>
        <v>0</v>
      </c>
      <c r="F42" s="52"/>
      <c r="G42" s="53"/>
      <c r="H42" s="16">
        <v>9</v>
      </c>
      <c r="J42" s="11"/>
      <c r="K42" s="12"/>
      <c r="L42" s="16"/>
      <c r="M42" s="9"/>
      <c r="N42" s="16"/>
    </row>
    <row r="43" spans="1:14" ht="12.75">
      <c r="A43" s="9"/>
      <c r="B43"/>
      <c r="C43" s="52"/>
      <c r="D43" s="53">
        <v>0</v>
      </c>
      <c r="E43" s="16">
        <f>2*D43*C43</f>
        <v>0</v>
      </c>
      <c r="F43" s="52"/>
      <c r="G43" s="53"/>
      <c r="H43" s="16"/>
      <c r="J43" s="11"/>
      <c r="K43" s="12"/>
      <c r="L43" s="16"/>
      <c r="M43" s="9"/>
      <c r="N43" s="16"/>
    </row>
    <row r="44" spans="1:14" ht="12.75">
      <c r="A44" s="9"/>
      <c r="B44" s="54" t="s">
        <v>53</v>
      </c>
      <c r="C44" s="55">
        <f>SUM(C39:C43)</f>
        <v>0</v>
      </c>
      <c r="D44" s="56"/>
      <c r="E44" s="25">
        <f>SUM(E39:E43)</f>
        <v>0</v>
      </c>
      <c r="F44" s="55">
        <f>SUM(F39:F43)</f>
        <v>128</v>
      </c>
      <c r="G44" s="56"/>
      <c r="H44" s="25">
        <f>SUM(H39:H43)</f>
        <v>378</v>
      </c>
      <c r="I44" s="12" t="s">
        <v>72</v>
      </c>
      <c r="J44" s="16">
        <v>100</v>
      </c>
      <c r="K44" s="12"/>
      <c r="L44" s="16"/>
      <c r="M44" s="9" t="s">
        <v>73</v>
      </c>
      <c r="N44" s="16"/>
    </row>
    <row r="45" spans="1:14" ht="12.75">
      <c r="A45" s="9"/>
      <c r="B45"/>
      <c r="C45" s="13"/>
      <c r="D45"/>
      <c r="E45" s="25">
        <f>E35+E36+E37+E44</f>
        <v>3485.3333333333335</v>
      </c>
      <c r="F45" s="13"/>
      <c r="G45"/>
      <c r="H45" s="25">
        <f>H35+H36+H37+H44</f>
        <v>4034.6666666666665</v>
      </c>
      <c r="I45"/>
      <c r="J45" s="25">
        <f>SUM(J35:J44)</f>
        <v>3630</v>
      </c>
      <c r="L45" s="25">
        <f>SUM(L35:L36)</f>
        <v>3080</v>
      </c>
      <c r="M45" s="9" t="s">
        <v>74</v>
      </c>
      <c r="N45" s="25">
        <f>SUM(N35:N36)</f>
        <v>2960</v>
      </c>
    </row>
    <row r="46" spans="1:14" ht="12.75">
      <c r="A46" s="9"/>
      <c r="B46" s="57"/>
      <c r="C46" s="58"/>
      <c r="D46" s="57"/>
      <c r="E46" s="11"/>
      <c r="F46" s="58"/>
      <c r="G46" s="57"/>
      <c r="H46" s="11"/>
      <c r="I46"/>
      <c r="J46" s="11"/>
      <c r="L46" s="51"/>
      <c r="M46" s="9"/>
      <c r="N46" s="51"/>
    </row>
    <row r="47" spans="1:14" ht="12.75">
      <c r="A47" s="9" t="s">
        <v>75</v>
      </c>
      <c r="B47" s="9" t="s">
        <v>76</v>
      </c>
      <c r="C47" s="59"/>
      <c r="D47" s="20"/>
      <c r="E47" s="60"/>
      <c r="F47" s="59"/>
      <c r="G47" s="20"/>
      <c r="H47" s="60" t="s">
        <v>11</v>
      </c>
      <c r="I47" s="12">
        <v>750</v>
      </c>
      <c r="J47" s="16">
        <v>52</v>
      </c>
      <c r="K47" s="12">
        <v>1000</v>
      </c>
      <c r="L47" s="16">
        <v>67.21</v>
      </c>
      <c r="M47" s="9" t="s">
        <v>76</v>
      </c>
      <c r="N47" s="16">
        <v>151</v>
      </c>
    </row>
    <row r="48" spans="1:14" ht="12.75">
      <c r="A48" s="9"/>
      <c r="B48" s="9" t="s">
        <v>77</v>
      </c>
      <c r="C48" s="59"/>
      <c r="D48" s="20"/>
      <c r="E48" s="16"/>
      <c r="F48" s="59"/>
      <c r="G48" s="20"/>
      <c r="H48" s="16">
        <v>60</v>
      </c>
      <c r="I48" s="12"/>
      <c r="J48" s="16">
        <v>50</v>
      </c>
      <c r="K48" s="12"/>
      <c r="L48" s="16">
        <v>50</v>
      </c>
      <c r="M48" s="9" t="s">
        <v>77</v>
      </c>
      <c r="N48" s="16">
        <v>50</v>
      </c>
    </row>
    <row r="49" spans="1:14" ht="12.75">
      <c r="A49" s="9"/>
      <c r="B49" s="9" t="s">
        <v>78</v>
      </c>
      <c r="C49" s="59"/>
      <c r="D49" s="20"/>
      <c r="E49" s="16"/>
      <c r="F49" s="59"/>
      <c r="G49" s="20"/>
      <c r="H49" s="16">
        <v>5</v>
      </c>
      <c r="I49" s="12"/>
      <c r="J49" s="16">
        <v>1.4</v>
      </c>
      <c r="K49" s="12"/>
      <c r="L49" s="16">
        <v>5</v>
      </c>
      <c r="M49" s="9" t="s">
        <v>78</v>
      </c>
      <c r="N49" s="16">
        <v>48.37</v>
      </c>
    </row>
    <row r="50" spans="1:14" ht="12.75">
      <c r="A50" s="9"/>
      <c r="B50" s="9" t="s">
        <v>79</v>
      </c>
      <c r="C50" s="59"/>
      <c r="D50" s="20"/>
      <c r="E50" s="16"/>
      <c r="F50" s="59"/>
      <c r="G50" s="20"/>
      <c r="H50" s="16">
        <v>10</v>
      </c>
      <c r="I50" s="61"/>
      <c r="J50" s="16">
        <v>9</v>
      </c>
      <c r="K50" s="61"/>
      <c r="L50" s="16">
        <v>8</v>
      </c>
      <c r="M50" s="9" t="s">
        <v>79</v>
      </c>
      <c r="N50" s="16">
        <v>5</v>
      </c>
    </row>
    <row r="51" spans="1:14" ht="12.75">
      <c r="A51" s="9"/>
      <c r="B51" s="9" t="s">
        <v>80</v>
      </c>
      <c r="C51" s="59"/>
      <c r="D51" s="20"/>
      <c r="E51" s="16"/>
      <c r="F51" s="59"/>
      <c r="G51" s="20"/>
      <c r="H51" s="16">
        <v>18.16</v>
      </c>
      <c r="I51" s="12"/>
      <c r="J51" s="16">
        <f>4.07+1.2</f>
        <v>5.2700000000000005</v>
      </c>
      <c r="K51" s="12"/>
      <c r="L51" s="16">
        <v>15</v>
      </c>
      <c r="M51" s="9" t="s">
        <v>80</v>
      </c>
      <c r="N51" s="16">
        <v>25.21</v>
      </c>
    </row>
    <row r="52" spans="1:14" ht="12.75">
      <c r="A52" s="9"/>
      <c r="B52" s="9" t="s">
        <v>81</v>
      </c>
      <c r="C52" s="59"/>
      <c r="D52" s="20"/>
      <c r="E52" s="16"/>
      <c r="F52" s="59"/>
      <c r="G52" s="20"/>
      <c r="H52" s="16">
        <v>0</v>
      </c>
      <c r="I52" s="12"/>
      <c r="J52" s="16">
        <v>0</v>
      </c>
      <c r="K52" s="12"/>
      <c r="L52" s="16">
        <v>0</v>
      </c>
      <c r="M52" s="9" t="s">
        <v>81</v>
      </c>
      <c r="N52" s="16">
        <v>0</v>
      </c>
    </row>
    <row r="53" spans="1:14" ht="12.75">
      <c r="A53" s="9"/>
      <c r="B53" s="9" t="s">
        <v>82</v>
      </c>
      <c r="C53" s="59"/>
      <c r="D53" s="20"/>
      <c r="E53" s="16"/>
      <c r="F53" s="59"/>
      <c r="G53" s="20"/>
      <c r="H53" s="16">
        <v>11.99</v>
      </c>
      <c r="I53" s="12"/>
      <c r="J53" s="16">
        <v>0</v>
      </c>
      <c r="K53" s="12"/>
      <c r="L53" s="16">
        <v>23.98</v>
      </c>
      <c r="M53" s="9" t="s">
        <v>82</v>
      </c>
      <c r="N53" s="16">
        <v>0</v>
      </c>
    </row>
    <row r="54" spans="1:14" ht="12.75">
      <c r="A54" s="9"/>
      <c r="B54" s="9" t="s">
        <v>83</v>
      </c>
      <c r="C54" s="59"/>
      <c r="D54" s="20"/>
      <c r="E54" s="16"/>
      <c r="F54" s="59"/>
      <c r="G54" s="20"/>
      <c r="H54" s="16">
        <v>0</v>
      </c>
      <c r="I54" s="12"/>
      <c r="J54" s="16">
        <v>0</v>
      </c>
      <c r="K54" s="12"/>
      <c r="L54" s="16">
        <v>0</v>
      </c>
      <c r="M54" s="9" t="s">
        <v>83</v>
      </c>
      <c r="N54" s="16">
        <v>0</v>
      </c>
    </row>
    <row r="55" spans="1:14" ht="12.75">
      <c r="A55" s="9"/>
      <c r="B55" s="20" t="s">
        <v>84</v>
      </c>
      <c r="C55" s="59"/>
      <c r="D55" s="20"/>
      <c r="E55" s="16"/>
      <c r="F55" s="59"/>
      <c r="G55" s="20"/>
      <c r="H55" s="16">
        <v>58.45</v>
      </c>
      <c r="I55" s="12"/>
      <c r="J55" s="16"/>
      <c r="K55" s="12"/>
      <c r="L55" s="16"/>
      <c r="M55" s="9" t="s">
        <v>85</v>
      </c>
      <c r="N55" s="16"/>
    </row>
    <row r="56" spans="1:14" ht="12.75">
      <c r="A56" s="9"/>
      <c r="B56" s="9" t="s">
        <v>65</v>
      </c>
      <c r="C56" s="59"/>
      <c r="D56" s="20"/>
      <c r="E56" s="16"/>
      <c r="F56" s="59"/>
      <c r="G56" s="20"/>
      <c r="H56" s="16">
        <v>0</v>
      </c>
      <c r="I56" s="12" t="s">
        <v>86</v>
      </c>
      <c r="J56" s="16">
        <v>79.5</v>
      </c>
      <c r="K56" s="12" t="s">
        <v>86</v>
      </c>
      <c r="L56" s="16">
        <v>74</v>
      </c>
      <c r="M56" s="9" t="s">
        <v>65</v>
      </c>
      <c r="N56" s="16">
        <v>80</v>
      </c>
    </row>
    <row r="57" spans="1:14" ht="12.75">
      <c r="A57" s="9"/>
      <c r="B57" s="9" t="s">
        <v>87</v>
      </c>
      <c r="C57" s="59" t="s">
        <v>88</v>
      </c>
      <c r="D57" s="20"/>
      <c r="E57" s="16"/>
      <c r="F57" s="59" t="s">
        <v>88</v>
      </c>
      <c r="G57" s="20"/>
      <c r="H57" s="16">
        <v>20</v>
      </c>
      <c r="I57" s="12" t="s">
        <v>89</v>
      </c>
      <c r="J57" s="16">
        <v>12</v>
      </c>
      <c r="K57" s="12" t="s">
        <v>90</v>
      </c>
      <c r="L57" s="16">
        <v>20</v>
      </c>
      <c r="M57" s="9" t="s">
        <v>87</v>
      </c>
      <c r="N57" s="16">
        <v>50</v>
      </c>
    </row>
    <row r="58" spans="1:14" ht="12.75">
      <c r="A58" s="9"/>
      <c r="B58" s="9" t="s">
        <v>91</v>
      </c>
      <c r="C58" s="59"/>
      <c r="D58" s="20"/>
      <c r="E58" s="16">
        <v>0</v>
      </c>
      <c r="F58" s="59"/>
      <c r="G58" s="20"/>
      <c r="H58" s="16">
        <v>0</v>
      </c>
      <c r="I58" s="12"/>
      <c r="J58" s="16">
        <v>6</v>
      </c>
      <c r="K58" s="12"/>
      <c r="L58" s="16">
        <v>10</v>
      </c>
      <c r="M58" s="9" t="s">
        <v>91</v>
      </c>
      <c r="N58" s="16">
        <v>6</v>
      </c>
    </row>
    <row r="59" spans="1:14" ht="12.75">
      <c r="A59" s="9"/>
      <c r="B59" s="54"/>
      <c r="C59" s="62"/>
      <c r="D59" s="54"/>
      <c r="E59" s="25">
        <f>SUM(E47:E58)</f>
        <v>0</v>
      </c>
      <c r="F59" s="62"/>
      <c r="G59" s="54"/>
      <c r="H59" s="25">
        <f>SUM(H47:H58)</f>
        <v>183.6</v>
      </c>
      <c r="I59" s="12"/>
      <c r="J59" s="25">
        <f>SUM(J47:J58)</f>
        <v>215.17000000000002</v>
      </c>
      <c r="K59" s="12"/>
      <c r="L59" s="25">
        <f>SUM(L47:L58)</f>
        <v>273.19</v>
      </c>
      <c r="M59" s="9" t="s">
        <v>92</v>
      </c>
      <c r="N59" s="25">
        <f>SUM(N47:N58)</f>
        <v>415.58000000000004</v>
      </c>
    </row>
    <row r="60" spans="1:14" ht="12.75">
      <c r="A60" s="9"/>
      <c r="B60" s="57"/>
      <c r="C60" s="58"/>
      <c r="D60" s="57"/>
      <c r="E60" s="11"/>
      <c r="F60" s="58"/>
      <c r="G60" s="57"/>
      <c r="H60" s="11"/>
      <c r="I60"/>
      <c r="J60" s="11"/>
      <c r="L60" s="51"/>
      <c r="M60" s="9"/>
      <c r="N60" s="51"/>
    </row>
    <row r="61" spans="1:14" ht="12.75">
      <c r="A61" s="9" t="s">
        <v>93</v>
      </c>
      <c r="B61" s="51" t="s">
        <v>94</v>
      </c>
      <c r="C61" s="59"/>
      <c r="D61" s="20"/>
      <c r="E61" s="16">
        <v>0</v>
      </c>
      <c r="F61" s="59"/>
      <c r="G61" s="20"/>
      <c r="H61" s="16">
        <v>0</v>
      </c>
      <c r="I61" s="12" t="s">
        <v>23</v>
      </c>
      <c r="J61" s="16">
        <v>212.1</v>
      </c>
      <c r="K61" s="12" t="s">
        <v>23</v>
      </c>
      <c r="L61" s="16">
        <v>157.7</v>
      </c>
      <c r="M61" s="51" t="s">
        <v>94</v>
      </c>
      <c r="N61" s="17">
        <v>87</v>
      </c>
    </row>
    <row r="62" spans="1:14" ht="12.75">
      <c r="A62" s="9"/>
      <c r="B62" s="51" t="s">
        <v>95</v>
      </c>
      <c r="C62" s="59"/>
      <c r="D62" s="20"/>
      <c r="E62" s="16">
        <v>0</v>
      </c>
      <c r="F62" s="59"/>
      <c r="G62" s="20"/>
      <c r="H62" s="16">
        <v>0</v>
      </c>
      <c r="I62" s="12"/>
      <c r="J62" s="16">
        <v>0</v>
      </c>
      <c r="K62" s="12"/>
      <c r="L62" s="16">
        <v>0</v>
      </c>
      <c r="M62" s="51" t="s">
        <v>95</v>
      </c>
      <c r="N62" s="17">
        <v>0</v>
      </c>
    </row>
    <row r="63" spans="1:14" ht="12.75">
      <c r="A63" s="9"/>
      <c r="B63" s="51" t="s">
        <v>96</v>
      </c>
      <c r="C63" s="59"/>
      <c r="D63" s="20"/>
      <c r="E63" s="16">
        <v>0</v>
      </c>
      <c r="F63" s="59"/>
      <c r="G63" s="20"/>
      <c r="H63" s="16">
        <v>0</v>
      </c>
      <c r="I63" s="12" t="s">
        <v>97</v>
      </c>
      <c r="J63" s="16">
        <v>25</v>
      </c>
      <c r="K63" s="12" t="s">
        <v>98</v>
      </c>
      <c r="L63" s="16">
        <v>0</v>
      </c>
      <c r="M63" s="51" t="s">
        <v>96</v>
      </c>
      <c r="N63" s="17">
        <v>15</v>
      </c>
    </row>
    <row r="64" spans="1:14" ht="12.75">
      <c r="A64" s="9"/>
      <c r="B64" s="51" t="s">
        <v>99</v>
      </c>
      <c r="C64" s="62"/>
      <c r="D64" s="54"/>
      <c r="E64" s="25">
        <f>SUM(E61:E63)</f>
        <v>0</v>
      </c>
      <c r="F64" s="62"/>
      <c r="G64" s="54"/>
      <c r="H64" s="25">
        <f>SUM(H61:H63)</f>
        <v>0</v>
      </c>
      <c r="I64" s="12"/>
      <c r="J64" s="25">
        <f>SUM(J61:J63)</f>
        <v>237.1</v>
      </c>
      <c r="K64" s="12"/>
      <c r="L64" s="25">
        <f>SUM(L61:L63)</f>
        <v>157.7</v>
      </c>
      <c r="M64" s="51" t="s">
        <v>99</v>
      </c>
      <c r="N64" s="63">
        <f>SUM(N61:N63)</f>
        <v>102</v>
      </c>
    </row>
    <row r="65" spans="1:14" ht="12.75">
      <c r="A65" s="9"/>
      <c r="B65" s="57"/>
      <c r="C65" s="58"/>
      <c r="D65" s="57"/>
      <c r="E65" s="11"/>
      <c r="F65" s="58"/>
      <c r="G65" s="57"/>
      <c r="H65" s="11"/>
      <c r="I65"/>
      <c r="J65" s="11"/>
      <c r="K65" s="12"/>
      <c r="L65" s="16"/>
      <c r="M65" s="51"/>
      <c r="N65" s="17"/>
    </row>
    <row r="66" spans="1:14" ht="12.75">
      <c r="A66" s="9" t="s">
        <v>100</v>
      </c>
      <c r="B66" s="20" t="s">
        <v>101</v>
      </c>
      <c r="C66" s="59"/>
      <c r="D66" s="20"/>
      <c r="E66" s="16" t="s">
        <v>11</v>
      </c>
      <c r="F66" s="59"/>
      <c r="G66" s="20"/>
      <c r="H66" s="16">
        <v>500</v>
      </c>
      <c r="I66" s="20" t="s">
        <v>102</v>
      </c>
      <c r="J66" s="16">
        <f>1000*$M$92</f>
        <v>901</v>
      </c>
      <c r="K66" s="12" t="s">
        <v>103</v>
      </c>
      <c r="L66" s="16">
        <v>964</v>
      </c>
      <c r="M66" s="51" t="s">
        <v>104</v>
      </c>
      <c r="N66" s="17">
        <v>1009.38730190774</v>
      </c>
    </row>
    <row r="67" spans="1:14" ht="12.75">
      <c r="A67" s="9"/>
      <c r="B67" s="20"/>
      <c r="C67" s="59"/>
      <c r="D67" s="20"/>
      <c r="E67" s="16">
        <v>0</v>
      </c>
      <c r="F67" s="59"/>
      <c r="G67" s="20"/>
      <c r="H67" s="16">
        <v>0</v>
      </c>
      <c r="I67" s="12" t="s">
        <v>105</v>
      </c>
      <c r="J67" s="16">
        <v>61</v>
      </c>
      <c r="K67" s="12" t="s">
        <v>105</v>
      </c>
      <c r="L67" s="17">
        <v>40</v>
      </c>
      <c r="M67" s="51"/>
      <c r="N67" s="17">
        <v>40</v>
      </c>
    </row>
    <row r="68" spans="1:14" ht="12.75">
      <c r="A68" s="9"/>
      <c r="B68" s="20"/>
      <c r="C68" s="59"/>
      <c r="D68" s="20"/>
      <c r="E68" s="16">
        <v>0</v>
      </c>
      <c r="F68" s="59"/>
      <c r="G68" s="20"/>
      <c r="H68" s="16">
        <v>0</v>
      </c>
      <c r="I68" s="12" t="s">
        <v>106</v>
      </c>
      <c r="J68" s="16">
        <f>120*$M$92</f>
        <v>108.12</v>
      </c>
      <c r="K68" s="12" t="s">
        <v>107</v>
      </c>
      <c r="L68" s="17">
        <v>158</v>
      </c>
      <c r="M68" s="51"/>
      <c r="N68" s="17">
        <v>111.032603209852</v>
      </c>
    </row>
    <row r="69" spans="1:14" ht="12.75">
      <c r="A69" s="9"/>
      <c r="B69" s="20"/>
      <c r="C69" s="59"/>
      <c r="D69" s="20"/>
      <c r="E69" s="16">
        <v>0</v>
      </c>
      <c r="F69" s="59"/>
      <c r="G69" s="20"/>
      <c r="H69" s="16">
        <v>0</v>
      </c>
      <c r="I69" s="12" t="s">
        <v>108</v>
      </c>
      <c r="J69" s="16">
        <v>140.2</v>
      </c>
      <c r="K69" s="12" t="s">
        <v>108</v>
      </c>
      <c r="L69" s="17">
        <v>136</v>
      </c>
      <c r="M69" s="51"/>
      <c r="N69" s="17">
        <v>131.4</v>
      </c>
    </row>
    <row r="70" spans="1:14" ht="12.75">
      <c r="A70" s="9"/>
      <c r="B70" s="64"/>
      <c r="C70" s="65"/>
      <c r="D70" s="64"/>
      <c r="E70" s="25">
        <f>SUM(E66:E69)</f>
        <v>0</v>
      </c>
      <c r="F70" s="65"/>
      <c r="G70" s="64"/>
      <c r="H70" s="25">
        <f>SUM(H66:H69)</f>
        <v>500</v>
      </c>
      <c r="I70" s="12"/>
      <c r="J70" s="66">
        <f>SUM(J66:J69)</f>
        <v>1210.32</v>
      </c>
      <c r="K70" s="12"/>
      <c r="L70" s="67">
        <f>SUM(L66:L69)</f>
        <v>1298</v>
      </c>
      <c r="M70" s="51"/>
      <c r="N70" s="63">
        <f>SUM(N66:N69)</f>
        <v>1291.819905117592</v>
      </c>
    </row>
    <row r="71" spans="1:14" ht="12.75">
      <c r="A71" s="9"/>
      <c r="B71" s="20"/>
      <c r="C71" s="59"/>
      <c r="D71" s="20"/>
      <c r="E71" s="16"/>
      <c r="F71" s="59"/>
      <c r="G71" s="20"/>
      <c r="H71" s="16"/>
      <c r="I71" s="12"/>
      <c r="J71" s="16"/>
      <c r="K71" s="12"/>
      <c r="M71" s="51"/>
      <c r="N71" s="17"/>
    </row>
    <row r="72" spans="1:14" ht="12.75">
      <c r="A72" s="9" t="s">
        <v>109</v>
      </c>
      <c r="B72" s="51" t="s">
        <v>110</v>
      </c>
      <c r="C72" s="59"/>
      <c r="D72" s="20"/>
      <c r="E72" s="16">
        <v>150</v>
      </c>
      <c r="F72" s="59"/>
      <c r="G72" s="20"/>
      <c r="H72" s="16">
        <v>150</v>
      </c>
      <c r="I72" s="12" t="s">
        <v>111</v>
      </c>
      <c r="J72" s="16">
        <f>200*$M$92+150</f>
        <v>330.20000000000005</v>
      </c>
      <c r="K72" s="12" t="s">
        <v>111</v>
      </c>
      <c r="L72" s="17">
        <v>328.6</v>
      </c>
      <c r="M72" s="51" t="s">
        <v>110</v>
      </c>
      <c r="N72" s="17">
        <v>351.877460381548</v>
      </c>
    </row>
    <row r="73" spans="1:14" ht="12.75">
      <c r="A73" s="9"/>
      <c r="B73" s="20"/>
      <c r="C73" s="59"/>
      <c r="D73" s="20"/>
      <c r="E73" s="16">
        <v>100</v>
      </c>
      <c r="F73" s="59"/>
      <c r="G73" s="20"/>
      <c r="H73" s="16">
        <v>100</v>
      </c>
      <c r="I73" s="12" t="s">
        <v>112</v>
      </c>
      <c r="J73" s="16">
        <f>150*$M$92+125</f>
        <v>260.15</v>
      </c>
      <c r="K73" s="12" t="s">
        <v>112</v>
      </c>
      <c r="L73" s="17">
        <v>258.9</v>
      </c>
      <c r="M73" s="51"/>
      <c r="N73" s="17">
        <v>261.408095286161</v>
      </c>
    </row>
    <row r="74" spans="1:14" ht="12.75">
      <c r="A74" s="9"/>
      <c r="B74" s="20"/>
      <c r="C74" s="59"/>
      <c r="D74" s="20"/>
      <c r="E74" s="16">
        <v>50</v>
      </c>
      <c r="F74" s="59"/>
      <c r="G74" s="20"/>
      <c r="H74" s="16">
        <v>50</v>
      </c>
      <c r="I74" s="12" t="s">
        <v>113</v>
      </c>
      <c r="J74" s="16">
        <f>100*$M$92+100</f>
        <v>190.10000000000002</v>
      </c>
      <c r="K74" s="12" t="s">
        <v>113</v>
      </c>
      <c r="L74" s="17">
        <v>189.3</v>
      </c>
      <c r="M74" s="51"/>
      <c r="N74" s="17">
        <v>199.820323417848</v>
      </c>
    </row>
    <row r="75" spans="1:14" ht="12.75">
      <c r="A75" s="9"/>
      <c r="B75" s="20"/>
      <c r="C75" s="59"/>
      <c r="D75" s="20"/>
      <c r="E75" s="16"/>
      <c r="F75" s="59"/>
      <c r="G75" s="20"/>
      <c r="H75" s="16">
        <v>0</v>
      </c>
      <c r="I75" s="12" t="s">
        <v>114</v>
      </c>
      <c r="J75" s="16">
        <v>75</v>
      </c>
      <c r="K75" s="12" t="s">
        <v>114</v>
      </c>
      <c r="L75" s="17">
        <v>75</v>
      </c>
      <c r="M75" s="51"/>
      <c r="N75" s="17">
        <v>100</v>
      </c>
    </row>
    <row r="76" spans="1:14" ht="12.75">
      <c r="A76" s="9"/>
      <c r="B76" s="20"/>
      <c r="C76" s="59"/>
      <c r="D76" s="20"/>
      <c r="E76" s="16"/>
      <c r="F76" s="59"/>
      <c r="G76" s="20"/>
      <c r="H76" s="16">
        <v>0</v>
      </c>
      <c r="I76" s="12" t="s">
        <v>115</v>
      </c>
      <c r="J76" s="16">
        <v>50</v>
      </c>
      <c r="K76" s="12" t="s">
        <v>115</v>
      </c>
      <c r="L76" s="17">
        <v>50</v>
      </c>
      <c r="M76" s="51"/>
      <c r="N76" s="17">
        <v>50</v>
      </c>
    </row>
    <row r="77" spans="1:14" ht="12.75">
      <c r="A77" s="9"/>
      <c r="B77" s="51" t="s">
        <v>116</v>
      </c>
      <c r="C77" s="59"/>
      <c r="D77" s="20"/>
      <c r="E77" s="60"/>
      <c r="F77" s="59"/>
      <c r="G77" s="20"/>
      <c r="H77" s="60">
        <v>100</v>
      </c>
      <c r="I77" s="12" t="s">
        <v>117</v>
      </c>
      <c r="J77" s="16">
        <v>100</v>
      </c>
      <c r="K77" s="12" t="s">
        <v>117</v>
      </c>
      <c r="L77" s="17">
        <v>100</v>
      </c>
      <c r="M77" s="51" t="s">
        <v>116</v>
      </c>
      <c r="N77" s="17">
        <v>100</v>
      </c>
    </row>
    <row r="78" spans="1:14" ht="12.75">
      <c r="A78" s="9"/>
      <c r="B78" s="20"/>
      <c r="C78" s="59"/>
      <c r="D78" s="20"/>
      <c r="E78" s="60"/>
      <c r="F78" s="59"/>
      <c r="G78" s="20"/>
      <c r="H78" s="60">
        <v>50</v>
      </c>
      <c r="I78" s="12" t="s">
        <v>118</v>
      </c>
      <c r="J78" s="16">
        <v>50</v>
      </c>
      <c r="K78" s="12" t="s">
        <v>118</v>
      </c>
      <c r="L78" s="17">
        <v>50</v>
      </c>
      <c r="M78" s="51"/>
      <c r="N78" s="17">
        <v>50</v>
      </c>
    </row>
    <row r="79" spans="1:14" ht="12.75">
      <c r="A79" s="9"/>
      <c r="B79" s="54" t="s">
        <v>119</v>
      </c>
      <c r="C79" s="62"/>
      <c r="D79" s="54"/>
      <c r="E79" s="25">
        <f>SUM(E72:E78)</f>
        <v>300</v>
      </c>
      <c r="F79" s="62"/>
      <c r="G79" s="54"/>
      <c r="H79" s="25">
        <f>SUM(H72:H78)</f>
        <v>450</v>
      </c>
      <c r="I79" s="12"/>
      <c r="J79" s="25">
        <f>SUM(J72:J76,J77:J78)</f>
        <v>1055.45</v>
      </c>
      <c r="K79" s="12"/>
      <c r="L79" s="25">
        <f>SUM(L72:L76,L77:L78)</f>
        <v>1051.8</v>
      </c>
      <c r="M79" s="51"/>
      <c r="N79" s="63">
        <f>SUM(N72:N76,N77:N78)</f>
        <v>1113.105879085557</v>
      </c>
    </row>
    <row r="80" spans="1:14" ht="12.75">
      <c r="A80" s="9"/>
      <c r="B80" s="51" t="s">
        <v>120</v>
      </c>
      <c r="C80" s="59"/>
      <c r="D80" s="20"/>
      <c r="E80" s="16"/>
      <c r="F80" s="59"/>
      <c r="G80" s="20"/>
      <c r="H80" s="16">
        <v>124.18</v>
      </c>
      <c r="I80" s="33" t="s">
        <v>121</v>
      </c>
      <c r="J80" s="16">
        <v>366</v>
      </c>
      <c r="K80" s="33" t="s">
        <v>122</v>
      </c>
      <c r="L80" s="17">
        <v>315</v>
      </c>
      <c r="M80" s="51" t="s">
        <v>120</v>
      </c>
      <c r="N80" s="17">
        <v>313</v>
      </c>
    </row>
    <row r="81" spans="1:14" ht="12.75">
      <c r="A81" s="9"/>
      <c r="B81" s="51" t="s">
        <v>123</v>
      </c>
      <c r="C81" s="59"/>
      <c r="D81" s="20"/>
      <c r="E81" s="16"/>
      <c r="F81" s="59"/>
      <c r="G81" s="20"/>
      <c r="H81" s="16">
        <v>5</v>
      </c>
      <c r="I81" s="68"/>
      <c r="J81" s="16">
        <v>4.72</v>
      </c>
      <c r="K81" s="68"/>
      <c r="L81" s="17">
        <v>23.02</v>
      </c>
      <c r="M81" s="51" t="s">
        <v>123</v>
      </c>
      <c r="N81" s="17"/>
    </row>
    <row r="82" spans="1:14" ht="12.75">
      <c r="A82" s="9"/>
      <c r="B82" s="51" t="s">
        <v>124</v>
      </c>
      <c r="C82" s="59"/>
      <c r="D82" s="20"/>
      <c r="E82" s="16"/>
      <c r="F82" s="59"/>
      <c r="G82" s="20"/>
      <c r="H82" s="16">
        <v>0</v>
      </c>
      <c r="I82" s="12" t="s">
        <v>62</v>
      </c>
      <c r="J82" s="16">
        <v>100</v>
      </c>
      <c r="K82" s="12"/>
      <c r="L82" s="17">
        <v>0</v>
      </c>
      <c r="M82" s="51" t="s">
        <v>124</v>
      </c>
      <c r="N82" s="17">
        <v>0</v>
      </c>
    </row>
    <row r="83" spans="1:14" ht="12.75">
      <c r="A83" s="9"/>
      <c r="B83" s="51" t="s">
        <v>125</v>
      </c>
      <c r="C83" s="59"/>
      <c r="D83" s="20"/>
      <c r="E83" s="60"/>
      <c r="F83" s="59"/>
      <c r="G83" s="20"/>
      <c r="H83" s="60" t="s">
        <v>11</v>
      </c>
      <c r="I83" s="12" t="s">
        <v>126</v>
      </c>
      <c r="J83" s="16">
        <v>235.85</v>
      </c>
      <c r="K83" s="12"/>
      <c r="L83" s="17">
        <v>20</v>
      </c>
      <c r="M83" s="51" t="s">
        <v>125</v>
      </c>
      <c r="N83" s="17">
        <v>20</v>
      </c>
    </row>
    <row r="84" spans="1:14" ht="12.75">
      <c r="A84" s="9"/>
      <c r="B84" s="51" t="s">
        <v>127</v>
      </c>
      <c r="C84" s="59"/>
      <c r="D84" s="20"/>
      <c r="E84" s="16"/>
      <c r="F84" s="59"/>
      <c r="G84" s="20"/>
      <c r="H84" s="16">
        <v>20</v>
      </c>
      <c r="I84" s="12"/>
      <c r="J84" s="16">
        <v>15.95</v>
      </c>
      <c r="K84" s="12"/>
      <c r="L84" s="17">
        <v>20</v>
      </c>
      <c r="M84" s="51" t="s">
        <v>127</v>
      </c>
      <c r="N84" s="17">
        <v>19.95</v>
      </c>
    </row>
    <row r="85" spans="1:14" ht="12.75">
      <c r="A85" s="35"/>
      <c r="B85" s="69" t="s">
        <v>128</v>
      </c>
      <c r="C85" s="70"/>
      <c r="D85" s="71"/>
      <c r="E85" s="38">
        <f>SUM(E79:E84)</f>
        <v>300</v>
      </c>
      <c r="F85" s="70"/>
      <c r="G85" s="71"/>
      <c r="H85" s="38">
        <f>SUM(H79:H84)</f>
        <v>599.1800000000001</v>
      </c>
      <c r="I85" s="72"/>
      <c r="J85" s="73">
        <f>SUM(J80:J84)</f>
        <v>722.52</v>
      </c>
      <c r="K85" s="72"/>
      <c r="L85" s="25">
        <f>SUM(L80:L84)</f>
        <v>378.02</v>
      </c>
      <c r="M85" s="69" t="s">
        <v>128</v>
      </c>
      <c r="N85" s="25">
        <f>SUM(N80,N82:N84)</f>
        <v>352.95</v>
      </c>
    </row>
    <row r="86" spans="2:14" ht="12.75">
      <c r="B86" s="26"/>
      <c r="C86" s="27"/>
      <c r="D86" s="26"/>
      <c r="E86" s="16"/>
      <c r="F86" s="27"/>
      <c r="G86" s="26"/>
      <c r="H86" s="16"/>
      <c r="I86" s="19"/>
      <c r="J86" s="26"/>
      <c r="K86" s="74"/>
      <c r="L86" s="74"/>
      <c r="M86" s="74"/>
      <c r="N86" s="74"/>
    </row>
    <row r="87" spans="2:14" ht="12.75">
      <c r="B87" s="17"/>
      <c r="C87" s="27"/>
      <c r="D87" s="17"/>
      <c r="E87" s="16"/>
      <c r="F87" s="27"/>
      <c r="G87" s="17"/>
      <c r="H87" s="16"/>
      <c r="J87" s="17"/>
      <c r="N87"/>
    </row>
    <row r="88" spans="1:14" ht="12.75">
      <c r="A88" t="s">
        <v>129</v>
      </c>
      <c r="B88"/>
      <c r="C88" s="75"/>
      <c r="D88" s="37"/>
      <c r="E88" s="76">
        <f>SUM(E59,E64,E70,E85,E45)</f>
        <v>3785.3333333333335</v>
      </c>
      <c r="F88" s="75"/>
      <c r="G88" s="37"/>
      <c r="H88" s="76">
        <f>SUM(H59,H64,H70,H85,H45)</f>
        <v>5317.446666666667</v>
      </c>
      <c r="J88" s="77">
        <f>SUM(J59,J64,J70,J79,J85,J45)</f>
        <v>7070.5599999999995</v>
      </c>
      <c r="L88" s="78">
        <f>L45+L59+L64+L70+L79+L85</f>
        <v>6238.709999999999</v>
      </c>
      <c r="N88" s="77">
        <f>SUM(N45,N59,N64,N70,N79,N85)</f>
        <v>6235.455784203149</v>
      </c>
    </row>
    <row r="89" spans="2:10" ht="12.75">
      <c r="B89"/>
      <c r="C89"/>
      <c r="D89"/>
      <c r="E89" s="17"/>
      <c r="F89"/>
      <c r="G89"/>
      <c r="H89" s="17"/>
      <c r="J89" s="17"/>
    </row>
    <row r="90" spans="1:14" ht="12.75">
      <c r="A90" t="s">
        <v>130</v>
      </c>
      <c r="B90"/>
      <c r="C90"/>
      <c r="D90"/>
      <c r="E90" s="79">
        <f>E32-E88</f>
        <v>-2785.3333333333335</v>
      </c>
      <c r="F90"/>
      <c r="G90"/>
      <c r="H90" s="79">
        <f>H32-H88</f>
        <v>67.55333333333328</v>
      </c>
      <c r="J90" s="79">
        <f>J32-J88</f>
        <v>97.79155876085952</v>
      </c>
      <c r="L90" s="80">
        <f>L32-L88</f>
        <v>-276.1721788731156</v>
      </c>
      <c r="N90" s="79">
        <v>110.746651377506</v>
      </c>
    </row>
    <row r="91" spans="2:10" ht="12.75">
      <c r="B91"/>
      <c r="C91"/>
      <c r="D91"/>
      <c r="E91"/>
      <c r="F91"/>
      <c r="G91"/>
      <c r="H91"/>
      <c r="J91" s="17"/>
    </row>
    <row r="92" spans="1:14" ht="12.75">
      <c r="A92" t="s">
        <v>131</v>
      </c>
      <c r="B92" s="17"/>
      <c r="C92" s="17"/>
      <c r="D92" s="17"/>
      <c r="E92" s="17"/>
      <c r="F92" s="17"/>
      <c r="G92" s="17"/>
      <c r="H92" s="17"/>
      <c r="J92" s="17"/>
      <c r="K92" t="s">
        <v>132</v>
      </c>
      <c r="M92" s="81">
        <v>0.901</v>
      </c>
      <c r="N92" t="s">
        <v>133</v>
      </c>
    </row>
    <row r="93" spans="2:14" ht="12.75">
      <c r="B93" s="17"/>
      <c r="C93" s="17"/>
      <c r="D93" s="17"/>
      <c r="E93" s="17"/>
      <c r="F93" s="17"/>
      <c r="G93" s="17"/>
      <c r="H93" s="17"/>
      <c r="J93" s="17"/>
      <c r="K93" t="s">
        <v>134</v>
      </c>
      <c r="M93" s="81">
        <v>1.2202</v>
      </c>
      <c r="N93" t="s">
        <v>135</v>
      </c>
    </row>
    <row r="94" spans="2:10" ht="12.75">
      <c r="B94" s="17"/>
      <c r="C94" s="17"/>
      <c r="D94" s="17"/>
      <c r="E94" s="17"/>
      <c r="F94" s="17"/>
      <c r="G94" s="17"/>
      <c r="H94" s="17"/>
      <c r="J94" s="17"/>
    </row>
    <row r="95" spans="1:10" ht="12.75">
      <c r="A95" t="s">
        <v>136</v>
      </c>
      <c r="B95" s="17"/>
      <c r="C95" s="17"/>
      <c r="D95" s="17"/>
      <c r="E95" s="17"/>
      <c r="F95" s="17"/>
      <c r="G95" s="17"/>
      <c r="H95" s="17"/>
      <c r="J95" s="17"/>
    </row>
    <row r="96" spans="1:14" ht="12.75">
      <c r="A96" s="22">
        <v>1</v>
      </c>
      <c r="B96" t="s">
        <v>137</v>
      </c>
      <c r="M96"/>
      <c r="N96"/>
    </row>
    <row r="97" spans="1:14" ht="12.75">
      <c r="A97" s="82" t="s">
        <v>138</v>
      </c>
      <c r="B97" t="s">
        <v>23</v>
      </c>
      <c r="C97" t="s">
        <v>139</v>
      </c>
      <c r="D97"/>
      <c r="F97" t="s">
        <v>139</v>
      </c>
      <c r="G97"/>
      <c r="M97"/>
      <c r="N97"/>
    </row>
    <row r="98" spans="1:14" ht="12.75">
      <c r="A98" s="82" t="s">
        <v>140</v>
      </c>
      <c r="B98" t="s">
        <v>66</v>
      </c>
      <c r="C98" t="s">
        <v>141</v>
      </c>
      <c r="D98"/>
      <c r="F98" t="s">
        <v>141</v>
      </c>
      <c r="G98"/>
      <c r="M98"/>
      <c r="N98"/>
    </row>
    <row r="99" spans="1:14" ht="12.75">
      <c r="A99" s="22">
        <v>4</v>
      </c>
      <c r="B99" s="18" t="s">
        <v>142</v>
      </c>
      <c r="M99"/>
      <c r="N99"/>
    </row>
  </sheetData>
  <sheetProtection selectLockedCells="1" selectUnlockedCells="1"/>
  <mergeCells count="2">
    <mergeCell ref="C3:E3"/>
    <mergeCell ref="F3:H3"/>
  </mergeCells>
  <printOptions/>
  <pageMargins left="0.7479166666666667" right="0.7479166666666667" top="0.9840277777777777" bottom="0.9840277777777777" header="0.5" footer="0.5118055555555555"/>
  <pageSetup fitToHeight="1" fitToWidth="1" horizontalDpi="300" verticalDpi="300" orientation="landscape" paperSize="9"/>
  <headerFooter alignWithMargins="0">
    <oddHeader>&amp;LLONDON OPEN GO CONGRESS&amp;RACCOUNTS SHEET
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24" sqref="C24"/>
    </sheetView>
  </sheetViews>
  <sheetFormatPr defaultColWidth="12.57421875" defaultRowHeight="12.75"/>
  <cols>
    <col min="1" max="16384" width="11.57421875" style="0" customWidth="1"/>
  </cols>
  <sheetData>
    <row r="1" spans="1:2" s="1" customFormat="1" ht="12.75">
      <c r="A1" t="s">
        <v>143</v>
      </c>
      <c r="B1" t="s">
        <v>144</v>
      </c>
    </row>
    <row r="2" spans="3:4" s="1" customFormat="1" ht="12.75">
      <c r="C2" s="22" t="s">
        <v>145</v>
      </c>
      <c r="D2" s="22" t="s">
        <v>146</v>
      </c>
    </row>
    <row r="3" spans="2:4" s="1" customFormat="1" ht="12.75">
      <c r="B3" t="s">
        <v>147</v>
      </c>
      <c r="D3" s="17">
        <v>744.15</v>
      </c>
    </row>
    <row r="4" spans="2:11" s="1" customFormat="1" ht="12.75">
      <c r="B4" t="s">
        <v>148</v>
      </c>
      <c r="D4" s="17">
        <v>1613.97</v>
      </c>
      <c r="F4"/>
      <c r="K4"/>
    </row>
    <row r="5" spans="2:4" s="1" customFormat="1" ht="12.75">
      <c r="B5" t="s">
        <v>149</v>
      </c>
      <c r="C5" s="17">
        <v>283.85</v>
      </c>
      <c r="D5" s="83">
        <f>D4+C5</f>
        <v>1897.8200000000002</v>
      </c>
    </row>
    <row r="6" spans="2:11" s="1" customFormat="1" ht="12.75">
      <c r="B6" t="s">
        <v>69</v>
      </c>
      <c r="C6" s="17">
        <v>-274</v>
      </c>
      <c r="D6" s="83">
        <f>D5+C6</f>
        <v>1623.8200000000002</v>
      </c>
      <c r="F6"/>
      <c r="K6"/>
    </row>
    <row r="7" spans="2:4" s="1" customFormat="1" ht="12.75">
      <c r="B7" t="s">
        <v>150</v>
      </c>
      <c r="C7" s="17">
        <f>-790</f>
        <v>-790</v>
      </c>
      <c r="D7" s="83">
        <f>D6+C7</f>
        <v>833.8200000000002</v>
      </c>
    </row>
    <row r="8" spans="2:4" s="1" customFormat="1" ht="12.75">
      <c r="B8" t="s">
        <v>151</v>
      </c>
      <c r="C8" s="17"/>
      <c r="D8" s="83">
        <f>D7-D3</f>
        <v>89.67000000000019</v>
      </c>
    </row>
    <row r="9" s="1" customFormat="1" ht="12.75"/>
    <row r="10" spans="2:4" s="1" customFormat="1" ht="12.75">
      <c r="B10" s="17" t="s">
        <v>152</v>
      </c>
      <c r="D10" s="17">
        <v>4.63</v>
      </c>
    </row>
    <row r="11" spans="2:4" s="1" customFormat="1" ht="12.75">
      <c r="B11" t="s">
        <v>153</v>
      </c>
      <c r="D11">
        <v>12.75</v>
      </c>
    </row>
    <row r="12" spans="2:4" s="1" customFormat="1" ht="12.75">
      <c r="B12" t="s">
        <v>154</v>
      </c>
      <c r="D12" s="83">
        <f>D11-D10</f>
        <v>8.120000000000001</v>
      </c>
    </row>
    <row r="13" s="1" customFormat="1" ht="12.75"/>
    <row r="14" spans="2:4" s="1" customFormat="1" ht="12.75">
      <c r="B14" t="s">
        <v>155</v>
      </c>
      <c r="D14" s="83">
        <f>D8+D12</f>
        <v>97.79000000000019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Diamond</cp:lastModifiedBy>
  <cp:lastPrinted>2012-11-07T14:51:15Z</cp:lastPrinted>
  <dcterms:modified xsi:type="dcterms:W3CDTF">2012-11-07T16:23:32Z</dcterms:modified>
  <cp:category/>
  <cp:version/>
  <cp:contentType/>
  <cp:contentStatus/>
  <cp:revision>6</cp:revision>
</cp:coreProperties>
</file>